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8"/>
  <workbookPr/>
  <mc:AlternateContent xmlns:mc="http://schemas.openxmlformats.org/markup-compatibility/2006">
    <mc:Choice Requires="x15">
      <x15ac:absPath xmlns:x15ac="http://schemas.microsoft.com/office/spreadsheetml/2010/11/ac" url="/Users/rebekahdevries/Downloads/"/>
    </mc:Choice>
  </mc:AlternateContent>
  <xr:revisionPtr revIDLastSave="0" documentId="8_{109EB899-5896-4A4B-85A0-86E2A06A13E0}" xr6:coauthVersionLast="47" xr6:coauthVersionMax="47" xr10:uidLastSave="{00000000-0000-0000-0000-000000000000}"/>
  <bookViews>
    <workbookView xWindow="0" yWindow="500" windowWidth="24760" windowHeight="13840" activeTab="1" xr2:uid="{00000000-000D-0000-FFFF-FFFF00000000}"/>
  </bookViews>
  <sheets>
    <sheet name="EDIR Estimate" sheetId="3" r:id="rId1"/>
    <sheet name="Estimated Billing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4" l="1"/>
  <c r="I25" i="4"/>
  <c r="C25" i="4"/>
  <c r="I11" i="4"/>
  <c r="C11" i="4"/>
  <c r="C5" i="3"/>
  <c r="E5" i="3"/>
  <c r="E13" i="4"/>
  <c r="I29" i="4"/>
  <c r="I28" i="4"/>
  <c r="I27" i="4"/>
  <c r="I15" i="4"/>
  <c r="I14" i="4"/>
  <c r="I13" i="4"/>
  <c r="E28" i="4"/>
  <c r="E27" i="4"/>
  <c r="E24" i="4"/>
  <c r="C27" i="4"/>
  <c r="C26" i="4"/>
  <c r="E26" i="4"/>
  <c r="C13" i="4"/>
  <c r="C12" i="4"/>
  <c r="E12" i="4"/>
  <c r="E14" i="4"/>
  <c r="K14" i="4"/>
  <c r="K16" i="4"/>
  <c r="K24" i="4"/>
  <c r="K28" i="4"/>
  <c r="K30" i="4"/>
  <c r="C29" i="4"/>
  <c r="C30" i="4"/>
  <c r="D32" i="4"/>
  <c r="K15" i="4"/>
  <c r="E25" i="4"/>
  <c r="E29" i="4"/>
  <c r="E30" i="4"/>
  <c r="E32" i="4"/>
  <c r="C15" i="4"/>
  <c r="E11" i="4"/>
  <c r="K13" i="4"/>
  <c r="K11" i="4"/>
  <c r="E15" i="4"/>
  <c r="E16" i="4"/>
  <c r="E18" i="4"/>
  <c r="K27" i="4"/>
  <c r="K29" i="4"/>
  <c r="C16" i="4"/>
  <c r="D18" i="4"/>
  <c r="K25" i="4"/>
  <c r="I26" i="4"/>
  <c r="K26" i="4"/>
  <c r="K31" i="4"/>
  <c r="K32" i="4"/>
  <c r="K34" i="4"/>
  <c r="I12" i="4"/>
  <c r="I31" i="4"/>
  <c r="I32" i="4"/>
  <c r="J34" i="4"/>
  <c r="K12" i="4"/>
  <c r="I17" i="4"/>
  <c r="I18" i="4"/>
  <c r="J20" i="4"/>
  <c r="K17" i="4"/>
  <c r="K18" i="4"/>
  <c r="K20" i="4"/>
  <c r="C6" i="3"/>
  <c r="E6" i="3"/>
  <c r="C16" i="3"/>
  <c r="E16" i="3"/>
  <c r="C8" i="3"/>
  <c r="E8" i="3"/>
  <c r="C44" i="3"/>
  <c r="E44" i="3"/>
  <c r="C43" i="3"/>
  <c r="E43" i="3"/>
  <c r="C42" i="3"/>
  <c r="E42" i="3"/>
  <c r="C41" i="3"/>
  <c r="E41" i="3"/>
  <c r="C40" i="3"/>
  <c r="E40" i="3"/>
  <c r="C39" i="3"/>
  <c r="E39" i="3"/>
  <c r="C38" i="3"/>
  <c r="E38" i="3"/>
  <c r="C37" i="3"/>
  <c r="E37" i="3"/>
  <c r="C36" i="3"/>
  <c r="E36" i="3"/>
  <c r="C35" i="3"/>
  <c r="E35" i="3"/>
  <c r="C34" i="3"/>
  <c r="E34" i="3"/>
  <c r="C33" i="3"/>
  <c r="E33" i="3"/>
  <c r="C30" i="3"/>
  <c r="E30" i="3"/>
  <c r="C29" i="3"/>
  <c r="E29" i="3"/>
  <c r="C28" i="3"/>
  <c r="E28" i="3"/>
  <c r="C27" i="3"/>
  <c r="E27" i="3"/>
  <c r="C26" i="3"/>
  <c r="E26" i="3"/>
  <c r="C25" i="3"/>
  <c r="E25" i="3"/>
  <c r="C24" i="3"/>
  <c r="E24" i="3"/>
  <c r="C23" i="3"/>
  <c r="E23" i="3"/>
  <c r="C22" i="3"/>
  <c r="E22" i="3"/>
  <c r="C21" i="3"/>
  <c r="E21" i="3"/>
  <c r="C20" i="3"/>
  <c r="E20" i="3"/>
  <c r="C19" i="3"/>
  <c r="E19" i="3"/>
  <c r="C15" i="3"/>
  <c r="E15" i="3"/>
  <c r="C14" i="3"/>
  <c r="E14" i="3"/>
  <c r="C13" i="3"/>
  <c r="E13" i="3"/>
  <c r="C12" i="3"/>
  <c r="E12" i="3"/>
  <c r="C11" i="3"/>
  <c r="E11" i="3"/>
  <c r="C10" i="3"/>
  <c r="E10" i="3"/>
  <c r="C9" i="3"/>
  <c r="E9" i="3"/>
  <c r="C7" i="3"/>
  <c r="E7" i="3"/>
  <c r="E45" i="3"/>
  <c r="E17" i="3"/>
  <c r="E31" i="3"/>
  <c r="E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El-Cassabgui, Alison</author>
  </authors>
  <commentList>
    <comment ref="C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El-Cassabgui, Alison:</t>
        </r>
        <r>
          <rPr>
            <sz val="9"/>
            <color indexed="81"/>
            <rFont val="Tahoma"/>
            <family val="2"/>
          </rPr>
          <t xml:space="preserve">
Indicative of Max Demand occurring during On-Peak Hours</t>
        </r>
      </text>
    </comment>
    <comment ref="I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El-Cassabgui, Alison:</t>
        </r>
        <r>
          <rPr>
            <sz val="9"/>
            <color indexed="81"/>
            <rFont val="Tahoma"/>
            <family val="2"/>
          </rPr>
          <t xml:space="preserve">
Indicative of Max Demand occurring during On-Peak Hours</t>
        </r>
      </text>
    </comment>
    <comment ref="C2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El-Cassabgui, Alison:</t>
        </r>
        <r>
          <rPr>
            <sz val="9"/>
            <color indexed="81"/>
            <rFont val="Tahoma"/>
            <family val="2"/>
          </rPr>
          <t xml:space="preserve">
Indicative of Max Demand occurring during On-Peak Hours</t>
        </r>
      </text>
    </comment>
    <comment ref="I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El-Cassabgui, Alison:</t>
        </r>
        <r>
          <rPr>
            <sz val="9"/>
            <color indexed="81"/>
            <rFont val="Tahoma"/>
            <family val="2"/>
          </rPr>
          <t xml:space="preserve">
Indicative of Max Demand occurring during On-Peak Hours</t>
        </r>
      </text>
    </comment>
  </commentList>
</comments>
</file>

<file path=xl/sharedStrings.xml><?xml version="1.0" encoding="utf-8"?>
<sst xmlns="http://schemas.openxmlformats.org/spreadsheetml/2006/main" count="66" uniqueCount="36">
  <si>
    <t>Year 1</t>
  </si>
  <si>
    <t>Demand Charge</t>
  </si>
  <si>
    <t>Year 2</t>
  </si>
  <si>
    <t>Year 3</t>
  </si>
  <si>
    <t>Usage Assumptions</t>
  </si>
  <si>
    <t>estimated monthly kW</t>
  </si>
  <si>
    <t>estimated annual kWh</t>
  </si>
  <si>
    <t>average monthly kWh</t>
  </si>
  <si>
    <t>on-peak kW example</t>
  </si>
  <si>
    <t>Energy Charge</t>
  </si>
  <si>
    <t>Delivery Charge</t>
  </si>
  <si>
    <t>Primary Metering Discount</t>
  </si>
  <si>
    <t>Capacity Charge</t>
  </si>
  <si>
    <t>Readiness to Serve</t>
  </si>
  <si>
    <t>Tax</t>
  </si>
  <si>
    <t>Transformer Ownership Discount</t>
  </si>
  <si>
    <t>Blended Cost per kWh</t>
  </si>
  <si>
    <t>Estimated EDIR Discount</t>
  </si>
  <si>
    <t>Scenario 2a - Customer Owned Transformer/Primary Metered w/EDIR</t>
  </si>
  <si>
    <t>Scenario 1a - HBPW Owned Transformer/Secondary Metered w/EDIR</t>
  </si>
  <si>
    <t>Scenario 1 - HBPW Owned Transformer/Secondary Metered no EDIR</t>
  </si>
  <si>
    <t>Scenario 2 - Customer Owned Transformer/Primary Metered no EDIR</t>
  </si>
  <si>
    <t>Highest kW On-Peak</t>
  </si>
  <si>
    <t>Highest kW Off-Peak</t>
  </si>
  <si>
    <t>Project Hisbiscus - Monthly Usage Estimates prepared by Holland BPW</t>
  </si>
  <si>
    <t>Total</t>
  </si>
  <si>
    <t>Project Hibiscus - EDIR (Economic Development Incentive Ryder)</t>
  </si>
  <si>
    <t>Prepared by Holland Board of Public Works, 8/1/2022</t>
  </si>
  <si>
    <t>Grand Total of Credits</t>
  </si>
  <si>
    <t>Credit to Apply</t>
  </si>
  <si>
    <t>EDIR%</t>
  </si>
  <si>
    <t>Demand (kW)</t>
  </si>
  <si>
    <t>On-Peak timeframe is 10 am to 6 pm, Monday through Friday (excluding holidays)</t>
  </si>
  <si>
    <t>Estimates based on new usage (not added to existing metering)</t>
  </si>
  <si>
    <t>Scenario 1a &amp; 2a based on the first year of EDIR</t>
  </si>
  <si>
    <t>Please note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</si>
</sst>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_);_(&quot;$&quot;* \(#,##0.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6" fillId="0" borderId="0" xfId="0" applyFont="1"/>
    <xf numFmtId="44" fontId="0" fillId="0" borderId="0" xfId="0" applyNumberFormat="1" applyFill="1"/>
    <xf numFmtId="0" fontId="0" fillId="0" borderId="0" xfId="0" applyFill="1"/>
    <xf numFmtId="43" fontId="0" fillId="0" borderId="0" xfId="1" applyNumberFormat="1" applyFont="1" applyFill="1"/>
    <xf numFmtId="164" fontId="0" fillId="0" borderId="0" xfId="3" applyNumberFormat="1" applyFont="1" applyFill="1"/>
    <xf numFmtId="9" fontId="0" fillId="0" borderId="0" xfId="3" applyFont="1" applyFill="1"/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41" fontId="0" fillId="0" borderId="0" xfId="1" applyNumberFormat="1" applyFont="1" applyFill="1"/>
    <xf numFmtId="42" fontId="0" fillId="0" borderId="0" xfId="2" applyNumberFormat="1" applyFont="1" applyFill="1"/>
    <xf numFmtId="42" fontId="0" fillId="0" borderId="0" xfId="0" applyNumberFormat="1" applyFill="1"/>
    <xf numFmtId="42" fontId="16" fillId="0" borderId="0" xfId="0" applyNumberFormat="1" applyFont="1"/>
    <xf numFmtId="0" fontId="21" fillId="0" borderId="20" xfId="0" applyFont="1" applyBorder="1" applyAlignment="1"/>
    <xf numFmtId="44" fontId="0" fillId="0" borderId="19" xfId="2" applyFont="1" applyBorder="1"/>
    <xf numFmtId="44" fontId="16" fillId="0" borderId="19" xfId="0" applyNumberFormat="1" applyFont="1" applyBorder="1"/>
    <xf numFmtId="0" fontId="20" fillId="0" borderId="0" xfId="0" applyFont="1" applyBorder="1"/>
    <xf numFmtId="0" fontId="0" fillId="0" borderId="0" xfId="0" applyFont="1"/>
    <xf numFmtId="0" fontId="16" fillId="0" borderId="0" xfId="0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18" xfId="0" applyFont="1" applyBorder="1"/>
    <xf numFmtId="0" fontId="0" fillId="0" borderId="0" xfId="0" applyFont="1" applyBorder="1"/>
    <xf numFmtId="44" fontId="0" fillId="0" borderId="19" xfId="0" applyNumberFormat="1" applyFont="1" applyBorder="1"/>
    <xf numFmtId="44" fontId="0" fillId="0" borderId="22" xfId="0" applyNumberFormat="1" applyFont="1" applyBorder="1"/>
    <xf numFmtId="0" fontId="0" fillId="0" borderId="19" xfId="0" applyFont="1" applyBorder="1"/>
    <xf numFmtId="166" fontId="16" fillId="0" borderId="0" xfId="0" applyNumberFormat="1" applyFont="1" applyBorder="1"/>
    <xf numFmtId="44" fontId="0" fillId="0" borderId="0" xfId="0" applyNumberFormat="1" applyFont="1"/>
    <xf numFmtId="3" fontId="20" fillId="0" borderId="0" xfId="0" applyNumberFormat="1" applyFont="1" applyBorder="1"/>
    <xf numFmtId="165" fontId="20" fillId="0" borderId="0" xfId="1" applyNumberFormat="1" applyFont="1" applyBorder="1" applyAlignment="1"/>
    <xf numFmtId="0" fontId="18" fillId="0" borderId="0" xfId="0" applyFont="1" applyBorder="1" applyAlignment="1">
      <alignment horizontal="center" wrapText="1"/>
    </xf>
    <xf numFmtId="41" fontId="0" fillId="0" borderId="15" xfId="1" applyNumberFormat="1" applyFont="1" applyFill="1" applyBorder="1"/>
    <xf numFmtId="42" fontId="0" fillId="0" borderId="16" xfId="2" applyNumberFormat="1" applyFont="1" applyFill="1" applyBorder="1"/>
    <xf numFmtId="164" fontId="0" fillId="0" borderId="16" xfId="3" applyNumberFormat="1" applyFont="1" applyFill="1" applyBorder="1"/>
    <xf numFmtId="42" fontId="0" fillId="0" borderId="17" xfId="0" applyNumberFormat="1" applyFill="1" applyBorder="1"/>
    <xf numFmtId="41" fontId="0" fillId="0" borderId="18" xfId="1" applyNumberFormat="1" applyFont="1" applyFill="1" applyBorder="1"/>
    <xf numFmtId="42" fontId="0" fillId="0" borderId="0" xfId="2" applyNumberFormat="1" applyFont="1" applyFill="1" applyBorder="1"/>
    <xf numFmtId="164" fontId="0" fillId="0" borderId="0" xfId="3" applyNumberFormat="1" applyFont="1" applyFill="1" applyBorder="1"/>
    <xf numFmtId="42" fontId="0" fillId="0" borderId="19" xfId="0" applyNumberFormat="1" applyFill="1" applyBorder="1"/>
    <xf numFmtId="41" fontId="0" fillId="0" borderId="24" xfId="1" applyNumberFormat="1" applyFont="1" applyFill="1" applyBorder="1"/>
    <xf numFmtId="42" fontId="0" fillId="0" borderId="25" xfId="2" applyNumberFormat="1" applyFont="1" applyFill="1" applyBorder="1"/>
    <xf numFmtId="164" fontId="0" fillId="0" borderId="25" xfId="3" applyNumberFormat="1" applyFont="1" applyFill="1" applyBorder="1"/>
    <xf numFmtId="42" fontId="0" fillId="0" borderId="26" xfId="0" applyNumberFormat="1" applyFill="1" applyBorder="1"/>
    <xf numFmtId="0" fontId="0" fillId="33" borderId="28" xfId="0" applyFont="1" applyFill="1" applyBorder="1"/>
    <xf numFmtId="166" fontId="16" fillId="33" borderId="28" xfId="0" applyNumberFormat="1" applyFont="1" applyFill="1" applyBorder="1"/>
    <xf numFmtId="166" fontId="16" fillId="33" borderId="29" xfId="0" applyNumberFormat="1" applyFont="1" applyFill="1" applyBorder="1"/>
    <xf numFmtId="0" fontId="16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16" fillId="33" borderId="27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0" fillId="0" borderId="21" xfId="0" applyFont="1" applyBorder="1"/>
    <xf numFmtId="0" fontId="0" fillId="0" borderId="10" xfId="0" applyFont="1" applyBorder="1"/>
    <xf numFmtId="44" fontId="0" fillId="0" borderId="10" xfId="2" applyFont="1" applyBorder="1"/>
    <xf numFmtId="44" fontId="0" fillId="0" borderId="12" xfId="2" applyFont="1" applyBorder="1"/>
    <xf numFmtId="0" fontId="0" fillId="0" borderId="18" xfId="0" applyFont="1" applyFill="1" applyBorder="1"/>
    <xf numFmtId="0" fontId="0" fillId="0" borderId="0" xfId="0" applyFont="1" applyFill="1" applyBorder="1"/>
    <xf numFmtId="44" fontId="0" fillId="0" borderId="0" xfId="2" applyFont="1" applyBorder="1"/>
    <xf numFmtId="44" fontId="0" fillId="0" borderId="11" xfId="2" applyFont="1" applyBorder="1"/>
    <xf numFmtId="0" fontId="16" fillId="0" borderId="23" xfId="0" applyFont="1" applyBorder="1"/>
    <xf numFmtId="0" fontId="16" fillId="0" borderId="13" xfId="0" applyFont="1" applyBorder="1"/>
    <xf numFmtId="44" fontId="16" fillId="0" borderId="1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18" xfId="0" applyFont="1" applyBorder="1"/>
    <xf numFmtId="0" fontId="0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11" xfId="0" applyFont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144781</xdr:colOff>
      <xdr:row>4</xdr:row>
      <xdr:rowOff>7620</xdr:rowOff>
    </xdr:from>
    <xdr:to>
      <xdr:col>9</xdr:col>
      <xdr:colOff>1103421</xdr:colOff>
      <xdr:row>31</xdr:row>
      <xdr:rowOff>1003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1" y="1005840"/>
          <a:ext cx="3839000" cy="4725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workbookViewId="0">
      <selection activeCell="L18" sqref="L18"/>
    </sheetView>
  </sheetViews>
  <sheetFormatPr baseColWidth="10" defaultColWidth="8.83203125" defaultRowHeight="15" x14ac:dyDescent="0.2"/>
  <cols>
    <col min="1" max="1" width="6.1640625" bestFit="1" customWidth="1"/>
    <col min="2" max="2" width="9.1640625" customWidth="1"/>
    <col min="3" max="3" width="9.83203125" customWidth="1"/>
    <col min="4" max="4" width="7.5" customWidth="1"/>
    <col min="5" max="5" width="10.6640625" customWidth="1"/>
    <col min="6" max="7" width="11.1640625" customWidth="1"/>
    <col min="8" max="8" width="9.5" customWidth="1"/>
    <col min="9" max="9" width="10.33203125" customWidth="1"/>
    <col min="10" max="10" width="16.5" customWidth="1"/>
  </cols>
  <sheetData>
    <row r="1" spans="1:10" ht="18" customHeight="1" x14ac:dyDescent="0.2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" customHeight="1" x14ac:dyDescent="0.25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28.25" customHeight="1" thickBot="1" x14ac:dyDescent="0.25">
      <c r="A4" t="s">
        <v>0</v>
      </c>
      <c r="B4" s="30" t="s">
        <v>31</v>
      </c>
      <c r="C4" s="30" t="s">
        <v>1</v>
      </c>
      <c r="D4" s="30" t="s">
        <v>30</v>
      </c>
      <c r="E4" s="30" t="s">
        <v>29</v>
      </c>
    </row>
    <row r="5" spans="1:10" ht="14" customHeight="1" x14ac:dyDescent="0.2">
      <c r="A5" s="3">
        <v>1</v>
      </c>
      <c r="B5" s="31">
        <v>16000</v>
      </c>
      <c r="C5" s="32">
        <f>B5*(11-0.45)</f>
        <v>168800</v>
      </c>
      <c r="D5" s="33">
        <v>0.17</v>
      </c>
      <c r="E5" s="34">
        <f>((C5*D5))</f>
        <v>28696.000000000004</v>
      </c>
    </row>
    <row r="6" spans="1:10" ht="14" customHeight="1" x14ac:dyDescent="0.2">
      <c r="A6" s="3">
        <v>2</v>
      </c>
      <c r="B6" s="35">
        <v>16000</v>
      </c>
      <c r="C6" s="36">
        <f t="shared" ref="C6:C16" si="0">B6*(11-0.45)</f>
        <v>168800</v>
      </c>
      <c r="D6" s="37">
        <v>0.17</v>
      </c>
      <c r="E6" s="38">
        <f t="shared" ref="E6:E16" si="1">((C6*D6))</f>
        <v>28696.000000000004</v>
      </c>
    </row>
    <row r="7" spans="1:10" ht="14" customHeight="1" x14ac:dyDescent="0.2">
      <c r="A7" s="3">
        <v>3</v>
      </c>
      <c r="B7" s="35">
        <v>16000</v>
      </c>
      <c r="C7" s="36">
        <f t="shared" si="0"/>
        <v>168800</v>
      </c>
      <c r="D7" s="37">
        <v>0.17</v>
      </c>
      <c r="E7" s="38">
        <f t="shared" si="1"/>
        <v>28696.000000000004</v>
      </c>
    </row>
    <row r="8" spans="1:10" ht="14" customHeight="1" x14ac:dyDescent="0.2">
      <c r="A8" s="3">
        <v>4</v>
      </c>
      <c r="B8" s="35">
        <v>16000</v>
      </c>
      <c r="C8" s="36">
        <f t="shared" si="0"/>
        <v>168800</v>
      </c>
      <c r="D8" s="37">
        <v>0.17</v>
      </c>
      <c r="E8" s="38">
        <f t="shared" si="1"/>
        <v>28696.000000000004</v>
      </c>
    </row>
    <row r="9" spans="1:10" ht="14" customHeight="1" x14ac:dyDescent="0.2">
      <c r="A9" s="3">
        <v>5</v>
      </c>
      <c r="B9" s="35">
        <v>16000</v>
      </c>
      <c r="C9" s="36">
        <f t="shared" si="0"/>
        <v>168800</v>
      </c>
      <c r="D9" s="37">
        <v>0.17</v>
      </c>
      <c r="E9" s="38">
        <f t="shared" si="1"/>
        <v>28696.000000000004</v>
      </c>
    </row>
    <row r="10" spans="1:10" ht="14" customHeight="1" x14ac:dyDescent="0.2">
      <c r="A10" s="3">
        <v>6</v>
      </c>
      <c r="B10" s="35">
        <v>16000</v>
      </c>
      <c r="C10" s="36">
        <f t="shared" si="0"/>
        <v>168800</v>
      </c>
      <c r="D10" s="37">
        <v>0.17</v>
      </c>
      <c r="E10" s="38">
        <f t="shared" si="1"/>
        <v>28696.000000000004</v>
      </c>
    </row>
    <row r="11" spans="1:10" ht="14" customHeight="1" x14ac:dyDescent="0.2">
      <c r="A11" s="3">
        <v>7</v>
      </c>
      <c r="B11" s="35">
        <v>16000</v>
      </c>
      <c r="C11" s="36">
        <f t="shared" si="0"/>
        <v>168800</v>
      </c>
      <c r="D11" s="37">
        <v>0.17</v>
      </c>
      <c r="E11" s="38">
        <f t="shared" si="1"/>
        <v>28696.000000000004</v>
      </c>
    </row>
    <row r="12" spans="1:10" ht="14" customHeight="1" x14ac:dyDescent="0.2">
      <c r="A12" s="3">
        <v>8</v>
      </c>
      <c r="B12" s="35">
        <v>16000</v>
      </c>
      <c r="C12" s="36">
        <f t="shared" si="0"/>
        <v>168800</v>
      </c>
      <c r="D12" s="37">
        <v>0.17</v>
      </c>
      <c r="E12" s="38">
        <f t="shared" si="1"/>
        <v>28696.000000000004</v>
      </c>
    </row>
    <row r="13" spans="1:10" ht="14" customHeight="1" x14ac:dyDescent="0.2">
      <c r="A13" s="3">
        <v>9</v>
      </c>
      <c r="B13" s="35">
        <v>16000</v>
      </c>
      <c r="C13" s="36">
        <f t="shared" si="0"/>
        <v>168800</v>
      </c>
      <c r="D13" s="37">
        <v>0.17</v>
      </c>
      <c r="E13" s="38">
        <f t="shared" si="1"/>
        <v>28696.000000000004</v>
      </c>
    </row>
    <row r="14" spans="1:10" ht="14" customHeight="1" x14ac:dyDescent="0.2">
      <c r="A14" s="3">
        <v>10</v>
      </c>
      <c r="B14" s="35">
        <v>16000</v>
      </c>
      <c r="C14" s="36">
        <f t="shared" si="0"/>
        <v>168800</v>
      </c>
      <c r="D14" s="37">
        <v>0.17</v>
      </c>
      <c r="E14" s="38">
        <f t="shared" si="1"/>
        <v>28696.000000000004</v>
      </c>
    </row>
    <row r="15" spans="1:10" ht="14" customHeight="1" x14ac:dyDescent="0.2">
      <c r="A15" s="3">
        <v>11</v>
      </c>
      <c r="B15" s="35">
        <v>16000</v>
      </c>
      <c r="C15" s="36">
        <f t="shared" si="0"/>
        <v>168800</v>
      </c>
      <c r="D15" s="37">
        <v>0.17</v>
      </c>
      <c r="E15" s="38">
        <f t="shared" si="1"/>
        <v>28696.000000000004</v>
      </c>
    </row>
    <row r="16" spans="1:10" ht="14" customHeight="1" thickBot="1" x14ac:dyDescent="0.25">
      <c r="A16" s="3">
        <v>12</v>
      </c>
      <c r="B16" s="39">
        <v>16000</v>
      </c>
      <c r="C16" s="40">
        <f t="shared" si="0"/>
        <v>168800</v>
      </c>
      <c r="D16" s="41">
        <v>0.17</v>
      </c>
      <c r="E16" s="42">
        <f t="shared" si="1"/>
        <v>28696.000000000004</v>
      </c>
    </row>
    <row r="17" spans="1:5" ht="14" customHeight="1" x14ac:dyDescent="0.2">
      <c r="A17" s="3"/>
      <c r="B17" s="10"/>
      <c r="C17" s="11"/>
      <c r="D17" s="5"/>
      <c r="E17" s="12">
        <f>SUM(E5:E16)</f>
        <v>344352.00000000006</v>
      </c>
    </row>
    <row r="18" spans="1:5" ht="14" customHeight="1" thickBot="1" x14ac:dyDescent="0.25">
      <c r="A18" s="3" t="s">
        <v>2</v>
      </c>
      <c r="B18" s="4"/>
      <c r="C18" s="3"/>
      <c r="D18" s="6"/>
      <c r="E18" s="2"/>
    </row>
    <row r="19" spans="1:5" ht="14" customHeight="1" x14ac:dyDescent="0.2">
      <c r="A19" s="3">
        <v>1</v>
      </c>
      <c r="B19" s="31">
        <v>16000</v>
      </c>
      <c r="C19" s="32">
        <f>B19*(11-0.45)</f>
        <v>168800</v>
      </c>
      <c r="D19" s="33">
        <v>0.115</v>
      </c>
      <c r="E19" s="34">
        <f t="shared" ref="E19:E30" si="2">((C19*D19))</f>
        <v>19412</v>
      </c>
    </row>
    <row r="20" spans="1:5" ht="14" customHeight="1" x14ac:dyDescent="0.2">
      <c r="A20" s="3">
        <v>2</v>
      </c>
      <c r="B20" s="35">
        <v>16000</v>
      </c>
      <c r="C20" s="36">
        <f t="shared" ref="C20:C30" si="3">B20*(11-0.45)</f>
        <v>168800</v>
      </c>
      <c r="D20" s="37">
        <v>0.115</v>
      </c>
      <c r="E20" s="38">
        <f t="shared" si="2"/>
        <v>19412</v>
      </c>
    </row>
    <row r="21" spans="1:5" ht="14" customHeight="1" x14ac:dyDescent="0.2">
      <c r="A21" s="3">
        <v>3</v>
      </c>
      <c r="B21" s="35">
        <v>16000</v>
      </c>
      <c r="C21" s="36">
        <f t="shared" si="3"/>
        <v>168800</v>
      </c>
      <c r="D21" s="37">
        <v>0.115</v>
      </c>
      <c r="E21" s="38">
        <f t="shared" si="2"/>
        <v>19412</v>
      </c>
    </row>
    <row r="22" spans="1:5" ht="14" customHeight="1" x14ac:dyDescent="0.2">
      <c r="A22" s="3">
        <v>4</v>
      </c>
      <c r="B22" s="35">
        <v>16000</v>
      </c>
      <c r="C22" s="36">
        <f t="shared" si="3"/>
        <v>168800</v>
      </c>
      <c r="D22" s="37">
        <v>0.115</v>
      </c>
      <c r="E22" s="38">
        <f t="shared" si="2"/>
        <v>19412</v>
      </c>
    </row>
    <row r="23" spans="1:5" ht="14" customHeight="1" x14ac:dyDescent="0.2">
      <c r="A23" s="3">
        <v>5</v>
      </c>
      <c r="B23" s="35">
        <v>16000</v>
      </c>
      <c r="C23" s="36">
        <f t="shared" si="3"/>
        <v>168800</v>
      </c>
      <c r="D23" s="37">
        <v>0.115</v>
      </c>
      <c r="E23" s="38">
        <f t="shared" si="2"/>
        <v>19412</v>
      </c>
    </row>
    <row r="24" spans="1:5" ht="14" customHeight="1" x14ac:dyDescent="0.2">
      <c r="A24" s="3">
        <v>6</v>
      </c>
      <c r="B24" s="35">
        <v>16000</v>
      </c>
      <c r="C24" s="36">
        <f t="shared" si="3"/>
        <v>168800</v>
      </c>
      <c r="D24" s="37">
        <v>0.115</v>
      </c>
      <c r="E24" s="38">
        <f t="shared" si="2"/>
        <v>19412</v>
      </c>
    </row>
    <row r="25" spans="1:5" ht="14" customHeight="1" x14ac:dyDescent="0.2">
      <c r="A25" s="3">
        <v>7</v>
      </c>
      <c r="B25" s="35">
        <v>16000</v>
      </c>
      <c r="C25" s="36">
        <f t="shared" si="3"/>
        <v>168800</v>
      </c>
      <c r="D25" s="37">
        <v>0.115</v>
      </c>
      <c r="E25" s="38">
        <f t="shared" si="2"/>
        <v>19412</v>
      </c>
    </row>
    <row r="26" spans="1:5" ht="14" customHeight="1" x14ac:dyDescent="0.2">
      <c r="A26" s="3">
        <v>8</v>
      </c>
      <c r="B26" s="35">
        <v>16000</v>
      </c>
      <c r="C26" s="36">
        <f t="shared" si="3"/>
        <v>168800</v>
      </c>
      <c r="D26" s="37">
        <v>0.115</v>
      </c>
      <c r="E26" s="38">
        <f t="shared" si="2"/>
        <v>19412</v>
      </c>
    </row>
    <row r="27" spans="1:5" ht="14" customHeight="1" x14ac:dyDescent="0.2">
      <c r="A27" s="3">
        <v>9</v>
      </c>
      <c r="B27" s="35">
        <v>16000</v>
      </c>
      <c r="C27" s="36">
        <f t="shared" si="3"/>
        <v>168800</v>
      </c>
      <c r="D27" s="37">
        <v>0.115</v>
      </c>
      <c r="E27" s="38">
        <f t="shared" si="2"/>
        <v>19412</v>
      </c>
    </row>
    <row r="28" spans="1:5" ht="14" customHeight="1" x14ac:dyDescent="0.2">
      <c r="A28" s="3">
        <v>10</v>
      </c>
      <c r="B28" s="35">
        <v>16000</v>
      </c>
      <c r="C28" s="36">
        <f t="shared" si="3"/>
        <v>168800</v>
      </c>
      <c r="D28" s="37">
        <v>0.115</v>
      </c>
      <c r="E28" s="38">
        <f t="shared" si="2"/>
        <v>19412</v>
      </c>
    </row>
    <row r="29" spans="1:5" ht="14" customHeight="1" x14ac:dyDescent="0.2">
      <c r="A29" s="3">
        <v>11</v>
      </c>
      <c r="B29" s="35">
        <v>16000</v>
      </c>
      <c r="C29" s="36">
        <f t="shared" si="3"/>
        <v>168800</v>
      </c>
      <c r="D29" s="37">
        <v>0.115</v>
      </c>
      <c r="E29" s="38">
        <f t="shared" si="2"/>
        <v>19412</v>
      </c>
    </row>
    <row r="30" spans="1:5" ht="14" customHeight="1" thickBot="1" x14ac:dyDescent="0.25">
      <c r="A30" s="3">
        <v>12</v>
      </c>
      <c r="B30" s="39">
        <v>16000</v>
      </c>
      <c r="C30" s="40">
        <f t="shared" si="3"/>
        <v>168800</v>
      </c>
      <c r="D30" s="41">
        <v>0.115</v>
      </c>
      <c r="E30" s="42">
        <f t="shared" si="2"/>
        <v>19412</v>
      </c>
    </row>
    <row r="31" spans="1:5" ht="14" customHeight="1" x14ac:dyDescent="0.2">
      <c r="A31" s="3"/>
      <c r="B31" s="10"/>
      <c r="C31" s="11"/>
      <c r="D31" s="5"/>
      <c r="E31" s="12">
        <f>SUM(E19:E30)</f>
        <v>232944</v>
      </c>
    </row>
    <row r="32" spans="1:5" ht="14" customHeight="1" thickBot="1" x14ac:dyDescent="0.25">
      <c r="A32" s="3" t="s">
        <v>3</v>
      </c>
      <c r="B32" s="4"/>
      <c r="C32" s="3"/>
      <c r="D32" s="3"/>
      <c r="E32" s="3"/>
    </row>
    <row r="33" spans="1:5" ht="14" customHeight="1" x14ac:dyDescent="0.2">
      <c r="A33" s="3">
        <v>1</v>
      </c>
      <c r="B33" s="31">
        <v>16000</v>
      </c>
      <c r="C33" s="32">
        <f>B33*(11-0.45)</f>
        <v>168800</v>
      </c>
      <c r="D33" s="33">
        <v>5.5E-2</v>
      </c>
      <c r="E33" s="34">
        <f t="shared" ref="E33:E44" si="4">((C33*D33))</f>
        <v>9284</v>
      </c>
    </row>
    <row r="34" spans="1:5" ht="14" customHeight="1" x14ac:dyDescent="0.2">
      <c r="A34" s="3">
        <v>2</v>
      </c>
      <c r="B34" s="35">
        <v>16000</v>
      </c>
      <c r="C34" s="36">
        <f t="shared" ref="C34:C44" si="5">B34*(11-0.45)</f>
        <v>168800</v>
      </c>
      <c r="D34" s="37">
        <v>5.5E-2</v>
      </c>
      <c r="E34" s="38">
        <f t="shared" si="4"/>
        <v>9284</v>
      </c>
    </row>
    <row r="35" spans="1:5" ht="14" customHeight="1" x14ac:dyDescent="0.2">
      <c r="A35" s="3">
        <v>3</v>
      </c>
      <c r="B35" s="35">
        <v>16000</v>
      </c>
      <c r="C35" s="36">
        <f t="shared" si="5"/>
        <v>168800</v>
      </c>
      <c r="D35" s="37">
        <v>5.5E-2</v>
      </c>
      <c r="E35" s="38">
        <f t="shared" si="4"/>
        <v>9284</v>
      </c>
    </row>
    <row r="36" spans="1:5" ht="14" customHeight="1" x14ac:dyDescent="0.2">
      <c r="A36" s="3">
        <v>4</v>
      </c>
      <c r="B36" s="35">
        <v>16000</v>
      </c>
      <c r="C36" s="36">
        <f t="shared" si="5"/>
        <v>168800</v>
      </c>
      <c r="D36" s="37">
        <v>5.5E-2</v>
      </c>
      <c r="E36" s="38">
        <f t="shared" si="4"/>
        <v>9284</v>
      </c>
    </row>
    <row r="37" spans="1:5" ht="14" customHeight="1" x14ac:dyDescent="0.2">
      <c r="A37" s="3">
        <v>5</v>
      </c>
      <c r="B37" s="35">
        <v>16000</v>
      </c>
      <c r="C37" s="36">
        <f t="shared" si="5"/>
        <v>168800</v>
      </c>
      <c r="D37" s="37">
        <v>5.5E-2</v>
      </c>
      <c r="E37" s="38">
        <f t="shared" si="4"/>
        <v>9284</v>
      </c>
    </row>
    <row r="38" spans="1:5" ht="14" customHeight="1" x14ac:dyDescent="0.2">
      <c r="A38" s="3">
        <v>6</v>
      </c>
      <c r="B38" s="35">
        <v>16000</v>
      </c>
      <c r="C38" s="36">
        <f t="shared" si="5"/>
        <v>168800</v>
      </c>
      <c r="D38" s="37">
        <v>5.5E-2</v>
      </c>
      <c r="E38" s="38">
        <f t="shared" si="4"/>
        <v>9284</v>
      </c>
    </row>
    <row r="39" spans="1:5" ht="14" customHeight="1" x14ac:dyDescent="0.2">
      <c r="A39" s="3">
        <v>7</v>
      </c>
      <c r="B39" s="35">
        <v>16000</v>
      </c>
      <c r="C39" s="36">
        <f t="shared" si="5"/>
        <v>168800</v>
      </c>
      <c r="D39" s="37">
        <v>5.5E-2</v>
      </c>
      <c r="E39" s="38">
        <f t="shared" si="4"/>
        <v>9284</v>
      </c>
    </row>
    <row r="40" spans="1:5" ht="14" customHeight="1" x14ac:dyDescent="0.2">
      <c r="A40" s="3">
        <v>8</v>
      </c>
      <c r="B40" s="35">
        <v>16000</v>
      </c>
      <c r="C40" s="36">
        <f t="shared" si="5"/>
        <v>168800</v>
      </c>
      <c r="D40" s="37">
        <v>5.5E-2</v>
      </c>
      <c r="E40" s="38">
        <f t="shared" si="4"/>
        <v>9284</v>
      </c>
    </row>
    <row r="41" spans="1:5" ht="14" customHeight="1" x14ac:dyDescent="0.2">
      <c r="A41" s="3">
        <v>9</v>
      </c>
      <c r="B41" s="35">
        <v>16000</v>
      </c>
      <c r="C41" s="36">
        <f t="shared" si="5"/>
        <v>168800</v>
      </c>
      <c r="D41" s="37">
        <v>5.5E-2</v>
      </c>
      <c r="E41" s="38">
        <f t="shared" si="4"/>
        <v>9284</v>
      </c>
    </row>
    <row r="42" spans="1:5" ht="14" customHeight="1" x14ac:dyDescent="0.2">
      <c r="A42" s="3">
        <v>10</v>
      </c>
      <c r="B42" s="35">
        <v>16000</v>
      </c>
      <c r="C42" s="36">
        <f t="shared" si="5"/>
        <v>168800</v>
      </c>
      <c r="D42" s="37">
        <v>5.5E-2</v>
      </c>
      <c r="E42" s="38">
        <f t="shared" si="4"/>
        <v>9284</v>
      </c>
    </row>
    <row r="43" spans="1:5" ht="14" customHeight="1" x14ac:dyDescent="0.2">
      <c r="A43" s="3">
        <v>11</v>
      </c>
      <c r="B43" s="35">
        <v>16000</v>
      </c>
      <c r="C43" s="36">
        <f t="shared" si="5"/>
        <v>168800</v>
      </c>
      <c r="D43" s="37">
        <v>5.5E-2</v>
      </c>
      <c r="E43" s="38">
        <f t="shared" si="4"/>
        <v>9284</v>
      </c>
    </row>
    <row r="44" spans="1:5" ht="14" customHeight="1" thickBot="1" x14ac:dyDescent="0.25">
      <c r="A44" s="3">
        <v>12</v>
      </c>
      <c r="B44" s="39">
        <v>16000</v>
      </c>
      <c r="C44" s="40">
        <f t="shared" si="5"/>
        <v>168800</v>
      </c>
      <c r="D44" s="41">
        <v>5.5E-2</v>
      </c>
      <c r="E44" s="42">
        <f t="shared" si="4"/>
        <v>9284</v>
      </c>
    </row>
    <row r="45" spans="1:5" ht="14" customHeight="1" x14ac:dyDescent="0.2">
      <c r="B45" s="10"/>
      <c r="C45" s="11"/>
      <c r="D45" s="5"/>
      <c r="E45" s="12">
        <f>SUM(E33:E44)</f>
        <v>111408</v>
      </c>
    </row>
    <row r="46" spans="1:5" ht="14" customHeight="1" x14ac:dyDescent="0.2"/>
    <row r="47" spans="1:5" ht="14" customHeight="1" x14ac:dyDescent="0.2">
      <c r="A47" s="46" t="s">
        <v>28</v>
      </c>
      <c r="B47" s="46"/>
      <c r="C47" s="46"/>
      <c r="D47" s="46"/>
      <c r="E47" s="13">
        <f>SUM(E17,E31,E45)</f>
        <v>688704</v>
      </c>
    </row>
  </sheetData>
  <mergeCells count="3">
    <mergeCell ref="A47:D47"/>
    <mergeCell ref="A1:J1"/>
    <mergeCell ref="A2:J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E6" sqref="E6"/>
    </sheetView>
  </sheetViews>
  <sheetFormatPr baseColWidth="10" defaultColWidth="8.83203125" defaultRowHeight="15" x14ac:dyDescent="0.2"/>
  <cols>
    <col min="1" max="1" width="20.83203125" style="18" customWidth="1"/>
    <col min="2" max="2" width="5.33203125" style="18" customWidth="1"/>
    <col min="3" max="3" width="4.83203125" style="18" customWidth="1"/>
    <col min="4" max="4" width="12.83203125" style="18" customWidth="1"/>
    <col min="5" max="5" width="18.33203125" style="18" customWidth="1"/>
    <col min="6" max="6" width="9.83203125" style="18" customWidth="1"/>
    <col min="7" max="7" width="20.83203125" style="18" customWidth="1"/>
    <col min="8" max="8" width="5.33203125" style="18" customWidth="1"/>
    <col min="9" max="9" width="4.83203125" style="18" customWidth="1"/>
    <col min="10" max="10" width="12.83203125" style="18" customWidth="1"/>
    <col min="11" max="11" width="18.33203125" style="18" customWidth="1"/>
    <col min="12" max="12" width="11.1640625" style="18" bestFit="1" customWidth="1"/>
    <col min="13" max="16384" width="8.83203125" style="18"/>
  </cols>
  <sheetData>
    <row r="1" spans="1:12" ht="19" x14ac:dyDescent="0.25">
      <c r="A1" s="47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x14ac:dyDescent="0.2">
      <c r="A2" s="9"/>
      <c r="B2" s="9"/>
      <c r="C2" s="9"/>
      <c r="D2" s="9"/>
      <c r="E2" s="9"/>
    </row>
    <row r="3" spans="1:12" ht="14.5" customHeight="1" x14ac:dyDescent="0.2">
      <c r="A3" s="52" t="s">
        <v>4</v>
      </c>
      <c r="B3" s="52"/>
      <c r="C3" s="52"/>
      <c r="D3" s="52"/>
      <c r="F3" s="1" t="s">
        <v>35</v>
      </c>
    </row>
    <row r="4" spans="1:12" ht="14.5" customHeight="1" x14ac:dyDescent="0.2">
      <c r="A4" s="28">
        <v>16000</v>
      </c>
      <c r="B4" s="17" t="s">
        <v>5</v>
      </c>
      <c r="C4" s="19"/>
      <c r="D4" s="19"/>
      <c r="F4" s="51" t="s">
        <v>32</v>
      </c>
      <c r="G4" s="51"/>
      <c r="H4" s="51"/>
      <c r="I4" s="51"/>
      <c r="J4" s="51"/>
      <c r="K4" s="51"/>
    </row>
    <row r="5" spans="1:12" ht="14.5" customHeight="1" x14ac:dyDescent="0.2">
      <c r="A5" s="28">
        <v>122880000</v>
      </c>
      <c r="B5" s="17" t="s">
        <v>6</v>
      </c>
      <c r="C5" s="19"/>
      <c r="D5" s="19"/>
      <c r="F5" s="51" t="s">
        <v>33</v>
      </c>
      <c r="G5" s="51"/>
      <c r="H5" s="51"/>
      <c r="I5" s="51"/>
      <c r="J5" s="51"/>
      <c r="K5" s="51"/>
    </row>
    <row r="6" spans="1:12" ht="14.5" customHeight="1" x14ac:dyDescent="0.2">
      <c r="A6" s="29">
        <f>A5/12</f>
        <v>10240000</v>
      </c>
      <c r="B6" s="17" t="s">
        <v>7</v>
      </c>
      <c r="C6" s="19"/>
      <c r="D6" s="19"/>
      <c r="F6" s="51" t="s">
        <v>34</v>
      </c>
      <c r="G6" s="51"/>
      <c r="H6" s="51"/>
      <c r="I6" s="51"/>
      <c r="J6" s="51"/>
      <c r="K6" s="51"/>
    </row>
    <row r="7" spans="1:12" ht="14.5" customHeight="1" x14ac:dyDescent="0.2">
      <c r="A7" s="28">
        <v>13000</v>
      </c>
      <c r="B7" s="17" t="s">
        <v>8</v>
      </c>
      <c r="C7" s="19"/>
      <c r="D7" s="19"/>
    </row>
    <row r="8" spans="1:12" ht="14.5" customHeight="1" thickBot="1" x14ac:dyDescent="0.25">
      <c r="G8" s="20"/>
      <c r="H8" s="20"/>
      <c r="I8" s="20"/>
      <c r="J8" s="7"/>
    </row>
    <row r="9" spans="1:12" ht="14.5" customHeight="1" x14ac:dyDescent="0.2">
      <c r="A9" s="48" t="s">
        <v>20</v>
      </c>
      <c r="B9" s="49"/>
      <c r="C9" s="49"/>
      <c r="D9" s="49"/>
      <c r="E9" s="50"/>
      <c r="G9" s="48" t="s">
        <v>21</v>
      </c>
      <c r="H9" s="49"/>
      <c r="I9" s="49"/>
      <c r="J9" s="49"/>
      <c r="K9" s="50"/>
      <c r="L9" s="7"/>
    </row>
    <row r="10" spans="1:12" ht="14.5" customHeight="1" x14ac:dyDescent="0.2">
      <c r="A10" s="21"/>
      <c r="B10" s="22"/>
      <c r="C10" s="69" t="s">
        <v>22</v>
      </c>
      <c r="D10" s="70"/>
      <c r="E10" s="14" t="s">
        <v>23</v>
      </c>
      <c r="G10" s="21"/>
      <c r="H10" s="22"/>
      <c r="I10" s="69" t="s">
        <v>22</v>
      </c>
      <c r="J10" s="70"/>
      <c r="K10" s="14" t="s">
        <v>23</v>
      </c>
    </row>
    <row r="11" spans="1:12" ht="14.5" customHeight="1" x14ac:dyDescent="0.2">
      <c r="A11" s="67" t="s">
        <v>9</v>
      </c>
      <c r="B11" s="68"/>
      <c r="C11" s="61">
        <f>((A6-2500000)*0.0338)+(2500000*0.0414)</f>
        <v>365112</v>
      </c>
      <c r="D11" s="62"/>
      <c r="E11" s="23">
        <f>C11</f>
        <v>365112</v>
      </c>
      <c r="G11" s="67" t="s">
        <v>9</v>
      </c>
      <c r="H11" s="68"/>
      <c r="I11" s="61">
        <f>((A6-2500000)*0.0338)+(2500000*0.0414)</f>
        <v>365112</v>
      </c>
      <c r="J11" s="62"/>
      <c r="K11" s="23">
        <f>I11</f>
        <v>365112</v>
      </c>
    </row>
    <row r="12" spans="1:12" ht="14.5" customHeight="1" x14ac:dyDescent="0.2">
      <c r="A12" s="67" t="s">
        <v>10</v>
      </c>
      <c r="B12" s="68"/>
      <c r="C12" s="61">
        <f>A4*3.5</f>
        <v>56000</v>
      </c>
      <c r="D12" s="62"/>
      <c r="E12" s="23">
        <f>C12</f>
        <v>56000</v>
      </c>
      <c r="G12" s="67" t="s">
        <v>11</v>
      </c>
      <c r="H12" s="68"/>
      <c r="I12" s="61">
        <f>SUM(I11)*-3%</f>
        <v>-10953.359999999999</v>
      </c>
      <c r="J12" s="62"/>
      <c r="K12" s="23">
        <f>I12</f>
        <v>-10953.359999999999</v>
      </c>
    </row>
    <row r="13" spans="1:12" ht="14.5" customHeight="1" x14ac:dyDescent="0.2">
      <c r="A13" s="67" t="s">
        <v>12</v>
      </c>
      <c r="B13" s="68"/>
      <c r="C13" s="61">
        <f>A4*11</f>
        <v>176000</v>
      </c>
      <c r="D13" s="62"/>
      <c r="E13" s="15">
        <f>A7*11</f>
        <v>143000</v>
      </c>
      <c r="G13" s="67" t="s">
        <v>10</v>
      </c>
      <c r="H13" s="68"/>
      <c r="I13" s="61">
        <f>A4*3.5</f>
        <v>56000</v>
      </c>
      <c r="J13" s="62"/>
      <c r="K13" s="23">
        <f>I13</f>
        <v>56000</v>
      </c>
    </row>
    <row r="14" spans="1:12" ht="14.5" customHeight="1" x14ac:dyDescent="0.2">
      <c r="A14" s="67" t="s">
        <v>13</v>
      </c>
      <c r="B14" s="68"/>
      <c r="C14" s="61">
        <v>210</v>
      </c>
      <c r="D14" s="62"/>
      <c r="E14" s="23">
        <f>C14</f>
        <v>210</v>
      </c>
      <c r="G14" s="67" t="s">
        <v>12</v>
      </c>
      <c r="H14" s="68"/>
      <c r="I14" s="61">
        <f>A4*11</f>
        <v>176000</v>
      </c>
      <c r="J14" s="62"/>
      <c r="K14" s="15">
        <f>A7*11</f>
        <v>143000</v>
      </c>
    </row>
    <row r="15" spans="1:12" ht="14.5" customHeight="1" x14ac:dyDescent="0.2">
      <c r="A15" s="55" t="s">
        <v>14</v>
      </c>
      <c r="B15" s="56"/>
      <c r="C15" s="57">
        <f>SUM(C11:D14)*0.06</f>
        <v>35839.32</v>
      </c>
      <c r="D15" s="58"/>
      <c r="E15" s="24">
        <f>SUM(E11:E14)*6%</f>
        <v>33859.32</v>
      </c>
      <c r="G15" s="59" t="s">
        <v>15</v>
      </c>
      <c r="H15" s="60"/>
      <c r="I15" s="61">
        <f>A4*-0.45</f>
        <v>-7200</v>
      </c>
      <c r="J15" s="62"/>
      <c r="K15" s="23">
        <f>I15</f>
        <v>-7200</v>
      </c>
    </row>
    <row r="16" spans="1:12" ht="14.5" customHeight="1" x14ac:dyDescent="0.2">
      <c r="A16" s="63" t="s">
        <v>25</v>
      </c>
      <c r="B16" s="64"/>
      <c r="C16" s="65">
        <f>SUM(C11:D15)</f>
        <v>633161.31999999995</v>
      </c>
      <c r="D16" s="66"/>
      <c r="E16" s="16">
        <f>SUM(E11:E15)</f>
        <v>598181.31999999995</v>
      </c>
      <c r="G16" s="67" t="s">
        <v>13</v>
      </c>
      <c r="H16" s="68"/>
      <c r="I16" s="61">
        <v>210</v>
      </c>
      <c r="J16" s="62"/>
      <c r="K16" s="23">
        <f>I16</f>
        <v>210</v>
      </c>
    </row>
    <row r="17" spans="1:12" ht="14.5" customHeight="1" thickBot="1" x14ac:dyDescent="0.25">
      <c r="A17" s="21"/>
      <c r="B17" s="22"/>
      <c r="C17" s="22"/>
      <c r="D17" s="22"/>
      <c r="E17" s="25"/>
      <c r="G17" s="55" t="s">
        <v>14</v>
      </c>
      <c r="H17" s="56"/>
      <c r="I17" s="57">
        <f>SUM(I11:J16)*0.06</f>
        <v>34750.118399999999</v>
      </c>
      <c r="J17" s="58"/>
      <c r="K17" s="24">
        <f>SUM(K11:K16)*6%</f>
        <v>32770.118399999999</v>
      </c>
    </row>
    <row r="18" spans="1:12" ht="16" thickBot="1" x14ac:dyDescent="0.25">
      <c r="A18" s="53" t="s">
        <v>16</v>
      </c>
      <c r="B18" s="54"/>
      <c r="C18" s="43"/>
      <c r="D18" s="44">
        <f>SUM(C16/A6)</f>
        <v>6.1832160156249996E-2</v>
      </c>
      <c r="E18" s="45">
        <f>SUM(E16/A6)</f>
        <v>5.8416144531249992E-2</v>
      </c>
      <c r="G18" s="63" t="s">
        <v>25</v>
      </c>
      <c r="H18" s="64"/>
      <c r="I18" s="65">
        <f>SUM(I11:J17)</f>
        <v>613918.75840000005</v>
      </c>
      <c r="J18" s="66"/>
      <c r="K18" s="16">
        <f>SUM(K11:K17)</f>
        <v>578938.75840000005</v>
      </c>
    </row>
    <row r="19" spans="1:12" ht="16" thickBot="1" x14ac:dyDescent="0.25">
      <c r="A19" s="19"/>
      <c r="B19" s="19"/>
      <c r="C19" s="22"/>
      <c r="D19" s="26"/>
      <c r="E19" s="26"/>
      <c r="G19" s="21"/>
      <c r="H19" s="22"/>
      <c r="I19" s="22"/>
      <c r="J19" s="22"/>
      <c r="K19" s="25"/>
    </row>
    <row r="20" spans="1:12" ht="16" thickBot="1" x14ac:dyDescent="0.25">
      <c r="A20" s="19"/>
      <c r="B20" s="19"/>
      <c r="C20" s="22"/>
      <c r="D20" s="26"/>
      <c r="E20" s="26"/>
      <c r="G20" s="53" t="s">
        <v>16</v>
      </c>
      <c r="H20" s="54"/>
      <c r="I20" s="43"/>
      <c r="J20" s="44">
        <f>SUM(I18/A6)</f>
        <v>5.9953003750000004E-2</v>
      </c>
      <c r="K20" s="45">
        <f>K18/A6</f>
        <v>5.6536988125000007E-2</v>
      </c>
    </row>
    <row r="21" spans="1:12" ht="16" thickBot="1" x14ac:dyDescent="0.25">
      <c r="A21" s="19"/>
      <c r="B21" s="19"/>
      <c r="C21" s="22"/>
      <c r="D21" s="26"/>
      <c r="E21" s="26"/>
    </row>
    <row r="22" spans="1:12" x14ac:dyDescent="0.2">
      <c r="A22" s="48" t="s">
        <v>19</v>
      </c>
      <c r="B22" s="49"/>
      <c r="C22" s="49"/>
      <c r="D22" s="49"/>
      <c r="E22" s="50"/>
      <c r="G22" s="48" t="s">
        <v>18</v>
      </c>
      <c r="H22" s="49"/>
      <c r="I22" s="49"/>
      <c r="J22" s="49"/>
      <c r="K22" s="50"/>
    </row>
    <row r="23" spans="1:12" x14ac:dyDescent="0.2">
      <c r="A23" s="21"/>
      <c r="B23" s="22"/>
      <c r="C23" s="69" t="s">
        <v>22</v>
      </c>
      <c r="D23" s="70"/>
      <c r="E23" s="14" t="s">
        <v>23</v>
      </c>
      <c r="G23" s="21"/>
      <c r="H23" s="22"/>
      <c r="I23" s="69" t="s">
        <v>22</v>
      </c>
      <c r="J23" s="70"/>
      <c r="K23" s="14" t="s">
        <v>23</v>
      </c>
    </row>
    <row r="24" spans="1:12" x14ac:dyDescent="0.2">
      <c r="A24" s="67" t="s">
        <v>17</v>
      </c>
      <c r="B24" s="68"/>
      <c r="C24" s="61">
        <v>-28696</v>
      </c>
      <c r="D24" s="62"/>
      <c r="E24" s="23">
        <f>C24</f>
        <v>-28696</v>
      </c>
      <c r="G24" s="67" t="s">
        <v>17</v>
      </c>
      <c r="H24" s="68"/>
      <c r="I24" s="61">
        <v>-28696</v>
      </c>
      <c r="J24" s="62"/>
      <c r="K24" s="23">
        <f>I24</f>
        <v>-28696</v>
      </c>
    </row>
    <row r="25" spans="1:12" x14ac:dyDescent="0.2">
      <c r="A25" s="67" t="s">
        <v>9</v>
      </c>
      <c r="B25" s="68"/>
      <c r="C25" s="61">
        <f>((A6-2500000)*0.0338)+(2500000*0.0414)</f>
        <v>365112</v>
      </c>
      <c r="D25" s="62"/>
      <c r="E25" s="23">
        <f>C25</f>
        <v>365112</v>
      </c>
      <c r="G25" s="67" t="s">
        <v>9</v>
      </c>
      <c r="H25" s="68"/>
      <c r="I25" s="61">
        <f>((A6-2500000)*0.0338)+(2500000*0.0414)</f>
        <v>365112</v>
      </c>
      <c r="J25" s="62"/>
      <c r="K25" s="23">
        <f>I25</f>
        <v>365112</v>
      </c>
    </row>
    <row r="26" spans="1:12" x14ac:dyDescent="0.2">
      <c r="A26" s="67" t="s">
        <v>10</v>
      </c>
      <c r="B26" s="68"/>
      <c r="C26" s="61">
        <f>A4*3.5</f>
        <v>56000</v>
      </c>
      <c r="D26" s="62"/>
      <c r="E26" s="23">
        <f>C26</f>
        <v>56000</v>
      </c>
      <c r="G26" s="67" t="s">
        <v>11</v>
      </c>
      <c r="H26" s="68"/>
      <c r="I26" s="61">
        <f>I25*-3%</f>
        <v>-10953.359999999999</v>
      </c>
      <c r="J26" s="62"/>
      <c r="K26" s="23">
        <f>I26</f>
        <v>-10953.359999999999</v>
      </c>
      <c r="L26" s="8"/>
    </row>
    <row r="27" spans="1:12" x14ac:dyDescent="0.2">
      <c r="A27" s="67" t="s">
        <v>12</v>
      </c>
      <c r="B27" s="68"/>
      <c r="C27" s="61">
        <f>A4*11</f>
        <v>176000</v>
      </c>
      <c r="D27" s="62"/>
      <c r="E27" s="15">
        <f>A7*11</f>
        <v>143000</v>
      </c>
      <c r="G27" s="67" t="s">
        <v>10</v>
      </c>
      <c r="H27" s="68"/>
      <c r="I27" s="61">
        <f>A4*3.5</f>
        <v>56000</v>
      </c>
      <c r="J27" s="62"/>
      <c r="K27" s="23">
        <f>I27</f>
        <v>56000</v>
      </c>
    </row>
    <row r="28" spans="1:12" x14ac:dyDescent="0.2">
      <c r="A28" s="67" t="s">
        <v>13</v>
      </c>
      <c r="B28" s="68"/>
      <c r="C28" s="61">
        <v>210</v>
      </c>
      <c r="D28" s="62"/>
      <c r="E28" s="23">
        <f>C28</f>
        <v>210</v>
      </c>
      <c r="F28" s="8"/>
      <c r="G28" s="67" t="s">
        <v>12</v>
      </c>
      <c r="H28" s="68"/>
      <c r="I28" s="61">
        <f>A4*11</f>
        <v>176000</v>
      </c>
      <c r="J28" s="62"/>
      <c r="K28" s="23">
        <f>A7*11</f>
        <v>143000</v>
      </c>
    </row>
    <row r="29" spans="1:12" x14ac:dyDescent="0.2">
      <c r="A29" s="55" t="s">
        <v>14</v>
      </c>
      <c r="B29" s="56"/>
      <c r="C29" s="57">
        <f>SUM(C24:D28)*0.06</f>
        <v>34117.56</v>
      </c>
      <c r="D29" s="58"/>
      <c r="E29" s="24">
        <f>SUM(E24:E28)*6%</f>
        <v>32137.559999999998</v>
      </c>
      <c r="G29" s="59" t="s">
        <v>15</v>
      </c>
      <c r="H29" s="60"/>
      <c r="I29" s="61">
        <f>A4*-0.45</f>
        <v>-7200</v>
      </c>
      <c r="J29" s="62"/>
      <c r="K29" s="23">
        <f>I29</f>
        <v>-7200</v>
      </c>
    </row>
    <row r="30" spans="1:12" x14ac:dyDescent="0.2">
      <c r="A30" s="63" t="s">
        <v>25</v>
      </c>
      <c r="B30" s="64"/>
      <c r="C30" s="65">
        <f>SUM(C24:D29)</f>
        <v>602743.56000000006</v>
      </c>
      <c r="D30" s="66"/>
      <c r="E30" s="16">
        <f>SUM(E24:E29)</f>
        <v>567763.56000000006</v>
      </c>
      <c r="G30" s="67" t="s">
        <v>13</v>
      </c>
      <c r="H30" s="68"/>
      <c r="I30" s="61">
        <v>210</v>
      </c>
      <c r="J30" s="62"/>
      <c r="K30" s="23">
        <f>I30</f>
        <v>210</v>
      </c>
    </row>
    <row r="31" spans="1:12" ht="16" thickBot="1" x14ac:dyDescent="0.25">
      <c r="A31" s="21"/>
      <c r="B31" s="22"/>
      <c r="C31" s="22"/>
      <c r="D31" s="22"/>
      <c r="E31" s="25"/>
      <c r="G31" s="55" t="s">
        <v>14</v>
      </c>
      <c r="H31" s="56"/>
      <c r="I31" s="57">
        <f>SUM(I24:J30)*0.06</f>
        <v>33028.358399999997</v>
      </c>
      <c r="J31" s="58"/>
      <c r="K31" s="24">
        <f>SUM(K24:K30)*6%</f>
        <v>31048.358400000001</v>
      </c>
    </row>
    <row r="32" spans="1:12" ht="16" thickBot="1" x14ac:dyDescent="0.25">
      <c r="A32" s="53" t="s">
        <v>16</v>
      </c>
      <c r="B32" s="54"/>
      <c r="C32" s="43"/>
      <c r="D32" s="44">
        <f>SUM(C30/A6)</f>
        <v>5.8861675781250004E-2</v>
      </c>
      <c r="E32" s="45">
        <f>E30/A6</f>
        <v>5.5445660156250007E-2</v>
      </c>
      <c r="G32" s="63" t="s">
        <v>25</v>
      </c>
      <c r="H32" s="64"/>
      <c r="I32" s="65">
        <f>SUM(I24:J31)</f>
        <v>583500.99840000004</v>
      </c>
      <c r="J32" s="66"/>
      <c r="K32" s="16">
        <f>SUM(K24:K31)</f>
        <v>548520.99840000004</v>
      </c>
    </row>
    <row r="33" spans="7:12" ht="16" thickBot="1" x14ac:dyDescent="0.25">
      <c r="G33" s="21"/>
      <c r="H33" s="22"/>
      <c r="I33" s="22"/>
      <c r="J33" s="22"/>
      <c r="K33" s="25"/>
    </row>
    <row r="34" spans="7:12" ht="16" thickBot="1" x14ac:dyDescent="0.25">
      <c r="G34" s="53" t="s">
        <v>16</v>
      </c>
      <c r="H34" s="54"/>
      <c r="I34" s="43"/>
      <c r="J34" s="44">
        <f>SUM(I32/A6)</f>
        <v>5.6982519375000006E-2</v>
      </c>
      <c r="K34" s="45">
        <f>K32/A6</f>
        <v>5.3566503750000001E-2</v>
      </c>
    </row>
    <row r="35" spans="7:12" x14ac:dyDescent="0.2">
      <c r="L35" s="27"/>
    </row>
    <row r="36" spans="7:12" x14ac:dyDescent="0.2">
      <c r="L36" s="27"/>
    </row>
  </sheetData>
  <mergeCells count="77">
    <mergeCell ref="F5:K5"/>
    <mergeCell ref="F6:K6"/>
    <mergeCell ref="A9:E9"/>
    <mergeCell ref="G9:K9"/>
    <mergeCell ref="C10:D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C14:D14"/>
    <mergeCell ref="G14:H14"/>
    <mergeCell ref="I14:J14"/>
    <mergeCell ref="A15:B15"/>
    <mergeCell ref="C15:D15"/>
    <mergeCell ref="G15:H15"/>
    <mergeCell ref="I15:J15"/>
    <mergeCell ref="C23:D23"/>
    <mergeCell ref="I23:J23"/>
    <mergeCell ref="A24:B24"/>
    <mergeCell ref="C24:D24"/>
    <mergeCell ref="G24:H24"/>
    <mergeCell ref="I24:J24"/>
    <mergeCell ref="A25:B25"/>
    <mergeCell ref="C25:D25"/>
    <mergeCell ref="G25:H25"/>
    <mergeCell ref="I25:J25"/>
    <mergeCell ref="A26:B26"/>
    <mergeCell ref="C26:D26"/>
    <mergeCell ref="G26:H26"/>
    <mergeCell ref="I26:J26"/>
    <mergeCell ref="A27:B27"/>
    <mergeCell ref="C27:D27"/>
    <mergeCell ref="G27:H27"/>
    <mergeCell ref="I27:J27"/>
    <mergeCell ref="A28:B28"/>
    <mergeCell ref="C28:D28"/>
    <mergeCell ref="G28:H28"/>
    <mergeCell ref="I28:J28"/>
    <mergeCell ref="G34:H34"/>
    <mergeCell ref="A29:B29"/>
    <mergeCell ref="C29:D29"/>
    <mergeCell ref="G29:H29"/>
    <mergeCell ref="I29:J29"/>
    <mergeCell ref="A30:B30"/>
    <mergeCell ref="C30:D30"/>
    <mergeCell ref="G30:H30"/>
    <mergeCell ref="I30:J30"/>
    <mergeCell ref="G31:H31"/>
    <mergeCell ref="I31:J31"/>
    <mergeCell ref="A32:B32"/>
    <mergeCell ref="G32:H32"/>
    <mergeCell ref="I32:J32"/>
    <mergeCell ref="G22:K22"/>
    <mergeCell ref="A22:E22"/>
    <mergeCell ref="F4:K4"/>
    <mergeCell ref="A3:D3"/>
    <mergeCell ref="A1:K1"/>
    <mergeCell ref="A18:B18"/>
    <mergeCell ref="G18:H18"/>
    <mergeCell ref="I18:J18"/>
    <mergeCell ref="G20:H20"/>
    <mergeCell ref="A16:B16"/>
    <mergeCell ref="C16:D16"/>
    <mergeCell ref="G16:H16"/>
    <mergeCell ref="I16:J16"/>
    <mergeCell ref="G17:H17"/>
    <mergeCell ref="I17:J17"/>
    <mergeCell ref="A14:B14"/>
  </mergeCells>
  <pageMargins left="0" right="0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EDIR Estimate</vt:lpstr>
      <vt:lpstr>Estimated 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El-Cassabgui, Alison</dc:creator>
  <cp:lastModifiedBy>Microsoft Office User</cp:lastModifiedBy>
  <cp:lastPrinted>2022-08-01T17:20:37Z</cp:lastPrinted>
  <dcterms:created xsi:type="dcterms:W3CDTF">2020-07-06T20:07:55Z</dcterms:created>
  <dcterms:modified xsi:type="dcterms:W3CDTF">2022-08-08T14:45:14Z</dcterms:modified>
</cp:coreProperties>
</file>